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Tab. salarial sem sobreposicao " sheetId="1" r:id="rId1"/>
  </sheets>
  <definedNames>
    <definedName name="_xlnm._FilterDatabase" localSheetId="0" hidden="1">'Tab. salarial sem sobreposicao '!$A$34:$C$34</definedName>
  </definedNames>
  <calcPr calcId="125725"/>
</workbook>
</file>

<file path=xl/calcChain.xml><?xml version="1.0" encoding="utf-8"?>
<calcChain xmlns="http://schemas.openxmlformats.org/spreadsheetml/2006/main">
  <c r="B23" i="1"/>
  <c r="B24"/>
  <c r="B25" s="1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31" l="1"/>
  <c r="G3"/>
  <c r="I26"/>
  <c r="I30"/>
  <c r="I18"/>
  <c r="J6"/>
  <c r="J10"/>
  <c r="I14"/>
  <c r="G15"/>
  <c r="J25"/>
  <c r="J29"/>
  <c r="H27"/>
  <c r="H31"/>
  <c r="K28"/>
  <c r="K32"/>
  <c r="I22"/>
  <c r="I21"/>
  <c r="H25"/>
  <c r="K31"/>
  <c r="G29"/>
  <c r="K27"/>
  <c r="G13"/>
  <c r="K15"/>
  <c r="K5"/>
  <c r="K9"/>
  <c r="J13"/>
  <c r="J17"/>
  <c r="J21"/>
  <c r="G19"/>
  <c r="K17"/>
  <c r="K13"/>
  <c r="I17"/>
  <c r="H21"/>
  <c r="G25"/>
  <c r="G26"/>
  <c r="H4"/>
  <c r="I7"/>
  <c r="I11"/>
  <c r="H15"/>
  <c r="H19"/>
  <c r="H23"/>
  <c r="H13"/>
  <c r="H14"/>
  <c r="G17"/>
  <c r="G18"/>
  <c r="K19"/>
  <c r="K21"/>
  <c r="G23"/>
  <c r="I25"/>
  <c r="K26"/>
  <c r="H29"/>
  <c r="H30"/>
  <c r="G14"/>
  <c r="K22"/>
  <c r="H26"/>
  <c r="G30"/>
  <c r="K18"/>
  <c r="H22"/>
  <c r="K29"/>
  <c r="H8"/>
  <c r="H12"/>
  <c r="K16"/>
  <c r="K20"/>
  <c r="K24"/>
  <c r="I13"/>
  <c r="K14"/>
  <c r="H17"/>
  <c r="H18"/>
  <c r="G21"/>
  <c r="G22"/>
  <c r="K23"/>
  <c r="K25"/>
  <c r="G27"/>
  <c r="I29"/>
  <c r="K30"/>
  <c r="J16"/>
  <c r="J20"/>
  <c r="J24"/>
  <c r="J28"/>
  <c r="J32"/>
  <c r="J15"/>
  <c r="I16"/>
  <c r="J19"/>
  <c r="I20"/>
  <c r="J23"/>
  <c r="I24"/>
  <c r="J27"/>
  <c r="I28"/>
  <c r="J31"/>
  <c r="I32"/>
  <c r="J14"/>
  <c r="I15"/>
  <c r="H16"/>
  <c r="J18"/>
  <c r="I19"/>
  <c r="H20"/>
  <c r="J22"/>
  <c r="I23"/>
  <c r="H24"/>
  <c r="J26"/>
  <c r="I27"/>
  <c r="H28"/>
  <c r="J30"/>
  <c r="I31"/>
  <c r="H32"/>
  <c r="G16"/>
  <c r="G20"/>
  <c r="G24"/>
  <c r="G28"/>
  <c r="G32"/>
  <c r="K10"/>
  <c r="K6"/>
  <c r="K11"/>
  <c r="J8"/>
  <c r="G7"/>
  <c r="J11"/>
  <c r="G10"/>
  <c r="J7"/>
  <c r="G6"/>
  <c r="J12"/>
  <c r="G11"/>
  <c r="H10"/>
  <c r="K7"/>
  <c r="H6"/>
  <c r="J4"/>
  <c r="G4"/>
  <c r="K4"/>
  <c r="J5"/>
  <c r="I6"/>
  <c r="H7"/>
  <c r="G8"/>
  <c r="K8"/>
  <c r="J9"/>
  <c r="I10"/>
  <c r="H11"/>
  <c r="G12"/>
  <c r="K12"/>
  <c r="I5"/>
  <c r="I9"/>
  <c r="I4"/>
  <c r="H5"/>
  <c r="I8"/>
  <c r="H9"/>
  <c r="I12"/>
  <c r="G5"/>
  <c r="G9"/>
  <c r="I3"/>
  <c r="K3"/>
  <c r="J3"/>
  <c r="H3"/>
  <c r="C73" l="1"/>
  <c r="C77"/>
  <c r="C81"/>
  <c r="C85"/>
  <c r="C89"/>
  <c r="C93"/>
  <c r="C67"/>
  <c r="C37"/>
  <c r="C41"/>
  <c r="C45"/>
  <c r="C49"/>
  <c r="C53"/>
  <c r="C57"/>
  <c r="C61"/>
  <c r="C35"/>
  <c r="C80"/>
  <c r="C44"/>
  <c r="C56"/>
  <c r="C71"/>
  <c r="C75"/>
  <c r="C79"/>
  <c r="C83"/>
  <c r="C87"/>
  <c r="C91"/>
  <c r="C69"/>
  <c r="C65"/>
  <c r="C39"/>
  <c r="C43"/>
  <c r="C47"/>
  <c r="C51"/>
  <c r="C55"/>
  <c r="C59"/>
  <c r="C63"/>
  <c r="C76"/>
  <c r="C88"/>
  <c r="C92"/>
  <c r="C36"/>
  <c r="C48"/>
  <c r="C64"/>
  <c r="C70"/>
  <c r="C74"/>
  <c r="C78"/>
  <c r="C82"/>
  <c r="C86"/>
  <c r="C90"/>
  <c r="C94"/>
  <c r="C66"/>
  <c r="C38"/>
  <c r="C42"/>
  <c r="C46"/>
  <c r="C50"/>
  <c r="C54"/>
  <c r="C58"/>
  <c r="C62"/>
  <c r="C72"/>
  <c r="C84"/>
  <c r="C68"/>
  <c r="C40"/>
  <c r="C52"/>
  <c r="C60"/>
</calcChain>
</file>

<file path=xl/sharedStrings.xml><?xml version="1.0" encoding="utf-8"?>
<sst xmlns="http://schemas.openxmlformats.org/spreadsheetml/2006/main" count="78" uniqueCount="41">
  <si>
    <t>MENOR SALÁRIO</t>
  </si>
  <si>
    <t>MAIOR SALÁRIO</t>
  </si>
  <si>
    <t>NÚMERO DE STEPS SALARIAIS</t>
  </si>
  <si>
    <t>A</t>
  </si>
  <si>
    <t>B</t>
  </si>
  <si>
    <t>C</t>
  </si>
  <si>
    <t>D</t>
  </si>
  <si>
    <t>E</t>
  </si>
  <si>
    <t>GRUPO</t>
  </si>
  <si>
    <t>FAIXA SALARIAL</t>
  </si>
  <si>
    <t>SALÁRIO BASE</t>
  </si>
  <si>
    <t>GRUPO SALARIAL</t>
  </si>
  <si>
    <t>COLOQUE AQUI OS DADOS DE SUA EMPRESA</t>
  </si>
  <si>
    <t>CARGO NA SUA EMPRESA</t>
  </si>
  <si>
    <t>AMPLITUDE DA TABELA SALARIAL</t>
  </si>
  <si>
    <t>AMPLITUDE DA FAIXA SALARIAL</t>
  </si>
  <si>
    <t>AMPLITUDE DO STEP SALARIAL</t>
  </si>
  <si>
    <t>NÚMERO DE GRUPOS SALARIAIS</t>
  </si>
  <si>
    <t>OP MAQUINA</t>
  </si>
  <si>
    <t>ESP REC HUMANOS</t>
  </si>
  <si>
    <t>TECN ELETRONICO</t>
  </si>
  <si>
    <t>ASSIST TECNICO ENG</t>
  </si>
  <si>
    <t>ENC PRODUCAO</t>
  </si>
  <si>
    <t>INSP ACABTO</t>
  </si>
  <si>
    <t>OP MAQUINA A</t>
  </si>
  <si>
    <t>AUX PRODUCAO</t>
  </si>
  <si>
    <t>MECANICO MANUT</t>
  </si>
  <si>
    <t>ALMOXARIFE</t>
  </si>
  <si>
    <t>AUX CONTR PRODUCAO</t>
  </si>
  <si>
    <t>ASSIST ENGENHARIA</t>
  </si>
  <si>
    <t>AUX ADMINISTR</t>
  </si>
  <si>
    <t>PLANEJ MANUTENCAO</t>
  </si>
  <si>
    <t>GERENTE PRODUÇÃO</t>
  </si>
  <si>
    <t>ENCARREGADO DE PRODUÇÃO</t>
  </si>
  <si>
    <t>GERENTE RECURSOS HUMANOS</t>
  </si>
  <si>
    <t>CONTROLLER</t>
  </si>
  <si>
    <t>MESTRE DE USINAGEM</t>
  </si>
  <si>
    <t>GERENTE PCP</t>
  </si>
  <si>
    <t>SUPERVISOR CONTABILIDADE</t>
  </si>
  <si>
    <t>SECRETARIA JUNIOR</t>
  </si>
  <si>
    <t>TENICO SEGURANÇA TRABALHO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</si>
</sst>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</patternFill>
    </fill>
    <fill>
      <patternFill patternType="solid">
        <fgColor rgb="FF00FFFF"/>
        <bgColor indexed="64"/>
      </patternFill>
    </fill>
  </fills>
  <borders count="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rgb="FFB2B2B2"/>
      </left>
      <right style="double">
        <color auto="1"/>
      </right>
      <top style="thin">
        <color rgb="FFB2B2B2"/>
      </top>
      <bottom style="thin">
        <color rgb="FFB2B2B2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3" borderId="0" applyNumberFormat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43" fontId="0" fillId="0" borderId="0" xfId="1" applyFont="1" applyAlignment="1" applyProtection="1">
      <alignment horizontal="right"/>
      <protection hidden="1"/>
    </xf>
    <xf numFmtId="43" fontId="4" fillId="3" borderId="4" xfId="3" applyNumberFormat="1" applyFont="1" applyBorder="1" applyProtection="1">
      <protection locked="0" hidden="1"/>
    </xf>
    <xf numFmtId="164" fontId="4" fillId="3" borderId="4" xfId="3" applyNumberFormat="1" applyFont="1" applyBorder="1" applyAlignment="1" applyProtection="1">
      <alignment horizontal="center" vertical="center"/>
      <protection locked="0" hidden="1"/>
    </xf>
    <xf numFmtId="0" fontId="3" fillId="4" borderId="5" xfId="0" applyFont="1" applyFill="1" applyBorder="1" applyProtection="1">
      <protection hidden="1"/>
    </xf>
    <xf numFmtId="10" fontId="3" fillId="4" borderId="5" xfId="2" applyNumberFormat="1" applyFont="1" applyFill="1" applyBorder="1" applyProtection="1">
      <protection hidden="1"/>
    </xf>
    <xf numFmtId="10" fontId="3" fillId="4" borderId="7" xfId="2" applyNumberFormat="1" applyFont="1" applyFill="1" applyBorder="1" applyProtection="1">
      <protection hidden="1"/>
    </xf>
    <xf numFmtId="0" fontId="0" fillId="4" borderId="3" xfId="0" applyFill="1" applyBorder="1" applyProtection="1"/>
    <xf numFmtId="0" fontId="0" fillId="4" borderId="6" xfId="0" applyFill="1" applyBorder="1" applyProtection="1"/>
    <xf numFmtId="0" fontId="0" fillId="0" borderId="0" xfId="0" applyProtection="1">
      <protection hidden="1"/>
    </xf>
    <xf numFmtId="43" fontId="0" fillId="0" borderId="0" xfId="0" applyNumberFormat="1" applyProtection="1">
      <protection hidden="1"/>
    </xf>
    <xf numFmtId="9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43" fontId="6" fillId="0" borderId="0" xfId="1" applyFont="1" applyProtection="1">
      <protection locked="0" hidden="1"/>
    </xf>
    <xf numFmtId="0" fontId="6" fillId="0" borderId="0" xfId="0" applyFont="1" applyProtection="1">
      <protection locked="0" hidden="1"/>
    </xf>
    <xf numFmtId="0" fontId="7" fillId="0" borderId="0" xfId="0" applyFont="1" applyProtection="1"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</cellXfs>
  <cellStyles count="4">
    <cellStyle name="Ênfase2" xfId="3" builtinId="33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00FFFF"/>
      <color rgb="FF56D6F0"/>
      <color rgb="FF40F6C6"/>
      <color rgb="FF16C7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4</xdr:col>
      <xdr:colOff>25213</xdr:colOff>
      <xdr:row>8</xdr:row>
      <xdr:rowOff>9524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7625"/>
          <a:ext cx="4816288" cy="14858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oneCellAnchor>
    <xdr:from>
      <xdr:col>0</xdr:col>
      <xdr:colOff>326933</xdr:colOff>
      <xdr:row>10</xdr:row>
      <xdr:rowOff>52658</xdr:rowOff>
    </xdr:from>
    <xdr:ext cx="4206968" cy="1023667"/>
    <xdr:sp macro="" textlink="">
      <xdr:nvSpPr>
        <xdr:cNvPr id="8" name="Retângulo 7"/>
        <xdr:cNvSpPr/>
      </xdr:nvSpPr>
      <xdr:spPr>
        <a:xfrm>
          <a:off x="326933" y="1957658"/>
          <a:ext cx="4206968" cy="102366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2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CONSTRUTOR AUTOMÁTICO</a:t>
          </a:r>
          <a:r>
            <a:rPr lang="pt-BR" sz="20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DE TABELA SALARIAL (AUTOTABS)</a:t>
          </a:r>
          <a:endParaRPr lang="pt-BR" sz="2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5</xdr:col>
      <xdr:colOff>0</xdr:colOff>
      <xdr:row>33</xdr:row>
      <xdr:rowOff>95789</xdr:rowOff>
    </xdr:from>
    <xdr:ext cx="4616494" cy="1085311"/>
    <xdr:sp macro="" textlink="">
      <xdr:nvSpPr>
        <xdr:cNvPr id="9" name="Retângulo 8"/>
        <xdr:cNvSpPr/>
      </xdr:nvSpPr>
      <xdr:spPr>
        <a:xfrm>
          <a:off x="4829175" y="6382289"/>
          <a:ext cx="4616494" cy="108531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pt-BR" sz="16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ENTRE EM CONTATO CONOSCO PELO TELEFONE</a:t>
          </a:r>
          <a:r>
            <a:rPr lang="pt-BR" sz="1600" b="1" i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11 2384-0288</a:t>
          </a:r>
        </a:p>
        <a:p>
          <a:pPr algn="ctr"/>
          <a:r>
            <a:rPr lang="pt-BR" sz="1600" b="1" i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TEREMOS O MAIOR PRAZER EM FAZER ALGO SOB MEDIDA PARA SUA EMPRESA</a:t>
          </a:r>
          <a:endParaRPr lang="pt-BR" sz="1600" b="1" i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topLeftCell="A10" workbookViewId="0">
      <selection activeCell="B33" sqref="B33"/>
    </sheetView>
  </sheetViews>
  <sheetFormatPr defaultRowHeight="15"/>
  <cols>
    <col min="1" max="1" width="30.5703125" style="1" bestFit="1" customWidth="1"/>
    <col min="2" max="2" width="13.5703125" style="1" bestFit="1" customWidth="1"/>
    <col min="3" max="3" width="19.140625" style="1" bestFit="1" customWidth="1"/>
    <col min="4" max="6" width="9.140625" style="1"/>
    <col min="7" max="11" width="10.5703125" style="1" bestFit="1" customWidth="1"/>
    <col min="12" max="16384" width="9.140625" style="1"/>
  </cols>
  <sheetData>
    <row r="1" spans="1:11">
      <c r="F1" s="21" t="s">
        <v>8</v>
      </c>
      <c r="G1" s="20" t="s">
        <v>9</v>
      </c>
      <c r="H1" s="20"/>
      <c r="I1" s="20"/>
      <c r="J1" s="20"/>
      <c r="K1" s="20"/>
    </row>
    <row r="2" spans="1:11">
      <c r="F2" s="21"/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</row>
    <row r="3" spans="1:11">
      <c r="F3" s="4" t="str">
        <f>IF(AND($B$21&lt;=30,$B$21&gt;=1),"1","")</f>
        <v>1</v>
      </c>
      <c r="G3" s="5">
        <f>IF($F3&lt;&gt;"",$B$19*POWER($B$25+1,0),"")</f>
        <v>788</v>
      </c>
      <c r="H3" s="5">
        <f>IF($F3&lt;&gt;"",$B$19*POWER($B$25+1,1),"")</f>
        <v>801.55270081772971</v>
      </c>
      <c r="I3" s="5">
        <f>IF($F3&lt;&gt;"",$B$19*POWER($B$25+1,2),"")</f>
        <v>815.33849262461536</v>
      </c>
      <c r="J3" s="5">
        <f>IF($F3&lt;&gt;"",$B$19*POWER($B$25+1,3),"")</f>
        <v>829.36138431969164</v>
      </c>
      <c r="K3" s="5">
        <f>IF($F3&lt;&gt;"",$B$19*POWER($B$25+1,4),"")</f>
        <v>843.62545375048228</v>
      </c>
    </row>
    <row r="4" spans="1:11">
      <c r="F4" s="4" t="str">
        <f>IF(AND($B$21&lt;=30,$B$21&gt;=2),"2","")</f>
        <v>2</v>
      </c>
      <c r="G4" s="5">
        <f>IF($F4&lt;&gt;"",$B$19*POWER($B$25+1,5),"")</f>
        <v>858.13484889883466</v>
      </c>
      <c r="H4" s="5">
        <f>IF($F4&lt;&gt;"",$B$19*POWER($B$25+1,6),"")</f>
        <v>872.8937890871515</v>
      </c>
      <c r="I4" s="5">
        <f>IF($F4&lt;&gt;"",$B$19*POWER($B$25+1,7),"")</f>
        <v>887.90656620536538</v>
      </c>
      <c r="J4" s="5">
        <f>IF($F4&lt;&gt;"",$B$19*POWER($B$25+1,8),"")</f>
        <v>903.1775459590192</v>
      </c>
      <c r="K4" s="5">
        <f>IF($F4&lt;&gt;"",$B$19*POWER($B$25+1,9),"")</f>
        <v>918.71116913880837</v>
      </c>
    </row>
    <row r="5" spans="1:11">
      <c r="F5" s="4" t="str">
        <f>IF(AND($B$21&lt;=30,$B$21&gt;=3),"3","")</f>
        <v>3</v>
      </c>
      <c r="G5" s="5">
        <f>IF($F5&lt;&gt;"",$B$19*POWER($B$25+1,10),"")</f>
        <v>934.511952911962</v>
      </c>
      <c r="H5" s="5">
        <f>IF($F5&lt;&gt;"",$B$19*POWER($B$25+1,11),"")</f>
        <v>950.58449213583003</v>
      </c>
      <c r="I5" s="5">
        <f>IF($F5&lt;&gt;"",$B$19*POWER($B$25+1,12),"")</f>
        <v>966.93346069406687</v>
      </c>
      <c r="J5" s="5">
        <f>IF($F5&lt;&gt;"",$B$19*POWER($B$25+1,13),"")</f>
        <v>983.56361285579101</v>
      </c>
      <c r="K5" s="5">
        <f>IF($F5&lt;&gt;"",$B$19*POWER($B$25+1,14),"")</f>
        <v>1000.4797846581259</v>
      </c>
    </row>
    <row r="6" spans="1:11">
      <c r="F6" s="4" t="str">
        <f>IF(AND($B$21&lt;=30,$B$21&gt;=4),"4","")</f>
        <v>4</v>
      </c>
      <c r="G6" s="5">
        <f>IF($F6&lt;&gt;"",$B$19*POWER($B$25+1,15),"")</f>
        <v>1017.6868953125145</v>
      </c>
      <c r="H6" s="5">
        <f>IF($F6&lt;&gt;"",$B$19*POWER($B$25+1,16),"")</f>
        <v>1035.1899486352236</v>
      </c>
      <c r="I6" s="5">
        <f>IF($F6&lt;&gt;"",$B$19*POWER($B$25+1,17),"")</f>
        <v>1052.9940345024497</v>
      </c>
      <c r="J6" s="5">
        <f>IF($F6&lt;&gt;"",$B$19*POWER($B$25+1,18),"")</f>
        <v>1071.1043303304521</v>
      </c>
      <c r="K6" s="5">
        <f>IF($F6&lt;&gt;"",$B$19*POWER($B$25+1,19),"")</f>
        <v>1089.5261025811415</v>
      </c>
    </row>
    <row r="7" spans="1:11">
      <c r="F7" s="4" t="str">
        <f>IF(AND($B$21&lt;=30,$B$21&gt;=5),"5","")</f>
        <v>5</v>
      </c>
      <c r="G7" s="5">
        <f>IF($F7&lt;&gt;"",$B$19*POWER($B$25+1,20),"")</f>
        <v>1108.2647082935648</v>
      </c>
      <c r="H7" s="5">
        <f>IF($F7&lt;&gt;"",$B$19*POWER($B$25+1,21),"")</f>
        <v>1127.325596641726</v>
      </c>
      <c r="I7" s="5">
        <f>IF($F7&lt;&gt;"",$B$19*POWER($B$25+1,22),"")</f>
        <v>1146.7143105192058</v>
      </c>
      <c r="J7" s="5">
        <f>IF($F7&lt;&gt;"",$B$19*POWER($B$25+1,23),"")</f>
        <v>1166.4364881510278</v>
      </c>
      <c r="K7" s="5">
        <f>IF($F7&lt;&gt;"",$B$19*POWER($B$25+1,24),"")</f>
        <v>1186.4978647332543</v>
      </c>
    </row>
    <row r="8" spans="1:11">
      <c r="F8" s="4" t="str">
        <f>IF(AND($B$21&lt;=30,$B$21&gt;=6),"6","")</f>
        <v>6</v>
      </c>
      <c r="G8" s="5">
        <f>IF($F8&lt;&gt;"",$B$19*POWER($B$25+1,25),"")</f>
        <v>1206.9042741007731</v>
      </c>
      <c r="H8" s="5">
        <f>IF($F8&lt;&gt;"",$B$19*POWER($B$25+1,26),"")</f>
        <v>1227.661650423777</v>
      </c>
      <c r="I8" s="5">
        <f>IF($F8&lt;&gt;"",$B$19*POWER($B$25+1,27),"")</f>
        <v>1248.7760299334138</v>
      </c>
      <c r="J8" s="5">
        <f>IF($F8&lt;&gt;"",$B$19*POWER($B$25+1,28),"")</f>
        <v>1270.2535526771194</v>
      </c>
      <c r="K8" s="5">
        <f>IF($F8&lt;&gt;"",$B$19*POWER($B$25+1,29),"")</f>
        <v>1292.1004643041385</v>
      </c>
    </row>
    <row r="9" spans="1:11">
      <c r="A9" s="13"/>
      <c r="B9" s="13"/>
      <c r="C9" s="13"/>
      <c r="D9" s="13"/>
      <c r="E9" s="13"/>
      <c r="F9" s="4" t="str">
        <f>IF(AND($B$21&lt;=30,$B$21&gt;=7),"7","")</f>
        <v>7</v>
      </c>
      <c r="G9" s="5">
        <f>IF($F9&lt;&gt;"",$B$19*POWER($B$25+1,30),"")</f>
        <v>1314.3231178817575</v>
      </c>
      <c r="H9" s="5">
        <f>IF($F9&lt;&gt;"",$B$19*POWER($B$25+1,31),"")</f>
        <v>1336.9279757427689</v>
      </c>
      <c r="I9" s="5">
        <f>IF($F9&lt;&gt;"",$B$19*POWER($B$25+1,32),"")</f>
        <v>1359.9216113647167</v>
      </c>
      <c r="J9" s="5">
        <f>IF($F9&lt;&gt;"",$B$19*POWER($B$25+1,33),"")</f>
        <v>1383.3107112814564</v>
      </c>
      <c r="K9" s="5">
        <f>IF($F9&lt;&gt;"",$B$19*POWER($B$25+1,34),"")</f>
        <v>1407.1020770275966</v>
      </c>
    </row>
    <row r="10" spans="1:11">
      <c r="A10" s="13"/>
      <c r="B10" s="14"/>
      <c r="C10" s="13"/>
      <c r="D10" s="13"/>
      <c r="E10" s="13"/>
      <c r="F10" s="4" t="str">
        <f>IF(AND($B$21&lt;=30,$B$21&gt;=8),"8","")</f>
        <v>8</v>
      </c>
      <c r="G10" s="5">
        <f>IF($F10&lt;&gt;"",$B$19*POWER($B$25+1,35),"")</f>
        <v>1431.3026271163797</v>
      </c>
      <c r="H10" s="5">
        <f>IF($F10&lt;&gt;"",$B$19*POWER($B$25+1,36),"")</f>
        <v>1455.9193990515816</v>
      </c>
      <c r="I10" s="5">
        <f>IF($F10&lt;&gt;"",$B$19*POWER($B$25+1,37),"")</f>
        <v>1480.9595513740117</v>
      </c>
      <c r="J10" s="5">
        <f>IF($F10&lt;&gt;"",$B$19*POWER($B$25+1,38),"")</f>
        <v>1506.4303657432135</v>
      </c>
      <c r="K10" s="5">
        <f>IF($F10&lt;&gt;"",$B$19*POWER($B$25+1,39),"")</f>
        <v>1532.3392490549659</v>
      </c>
    </row>
    <row r="11" spans="1:11">
      <c r="A11" s="13"/>
      <c r="B11" s="15"/>
      <c r="C11" s="13"/>
      <c r="D11" s="13"/>
      <c r="E11" s="13"/>
      <c r="F11" s="4" t="str">
        <f>IF(AND($B$21&lt;=30,$B$21&gt;=9),"9","")</f>
        <v>9</v>
      </c>
      <c r="G11" s="5">
        <f>IF($F11&lt;&gt;"",$B$19*POWER($B$25+1,40),"")</f>
        <v>1558.693735595203</v>
      </c>
      <c r="H11" s="5">
        <f>IF($F11&lt;&gt;"",$B$19*POWER($B$25+1,41),"")</f>
        <v>1585.5014892309784</v>
      </c>
      <c r="I11" s="5">
        <f>IF($F11&lt;&gt;"",$B$19*POWER($B$25+1,42),"")</f>
        <v>1612.770305639116</v>
      </c>
      <c r="J11" s="5">
        <f>IF($F11&lt;&gt;"",$B$19*POWER($B$25+1,43),"")</f>
        <v>1640.5081145731838</v>
      </c>
      <c r="K11" s="5">
        <f>IF($F11&lt;&gt;"",$B$19*POWER($B$25+1,44),"")</f>
        <v>1668.7229821694639</v>
      </c>
    </row>
    <row r="12" spans="1:11">
      <c r="A12" s="13"/>
      <c r="B12" s="14"/>
      <c r="C12" s="13"/>
      <c r="D12" s="13"/>
      <c r="E12" s="13"/>
      <c r="F12" s="4" t="str">
        <f>IF(AND($B$21&lt;=30,$B$21&gt;=10),"10","")</f>
        <v>10</v>
      </c>
      <c r="G12" s="5">
        <f>IF($F12&lt;&gt;"",$B$19*POWER($B$25+1,45),"")</f>
        <v>1697.4231132925759</v>
      </c>
      <c r="H12" s="5">
        <f>IF($F12&lt;&gt;"",$B$19*POWER($B$25+1,46),"")</f>
        <v>1726.6168539214511</v>
      </c>
      <c r="I12" s="5">
        <f>IF($F12&lt;&gt;"",$B$19*POWER($B$25+1,47),"")</f>
        <v>1756.312693576333</v>
      </c>
      <c r="J12" s="5">
        <f>IF($F12&lt;&gt;"",$B$19*POWER($B$25+1,48),"")</f>
        <v>1786.5192677875275</v>
      </c>
      <c r="K12" s="5">
        <f>IF($F12&lt;&gt;"",$B$19*POWER($B$25+1,49),"")</f>
        <v>1817.245360606606</v>
      </c>
    </row>
    <row r="13" spans="1:11">
      <c r="A13" s="13"/>
      <c r="B13" s="13"/>
      <c r="C13" s="13"/>
      <c r="D13" s="13"/>
      <c r="E13" s="13"/>
      <c r="F13" s="4" t="str">
        <f>IF(AND($B$21&lt;=30,$B$21&gt;=11),"11","")</f>
        <v>11</v>
      </c>
      <c r="G13" s="5">
        <f>IF($F13&lt;&gt;"",$B$19*POWER($B$25+1,50),"")</f>
        <v>1848.4999071608049</v>
      </c>
      <c r="H13" s="5">
        <f>IF($F13&lt;&gt;"",$B$19*POWER($B$25+1,51),"")</f>
        <v>1880.2919962513524</v>
      </c>
      <c r="I13" s="5">
        <f>IF($F13&lt;&gt;"",$B$19*POWER($B$25+1,52),"")</f>
        <v>1912.6308729964876</v>
      </c>
      <c r="J13" s="5">
        <f>IF($F13&lt;&gt;"",$B$19*POWER($B$25+1,53),"")</f>
        <v>1945.5259415199325</v>
      </c>
      <c r="K13" s="5">
        <f>IF($F13&lt;&gt;"",$B$19*POWER($B$25+1,54),"")</f>
        <v>1978.986767685607</v>
      </c>
    </row>
    <row r="14" spans="1:11">
      <c r="A14" s="13"/>
      <c r="B14" s="13"/>
      <c r="C14" s="13"/>
      <c r="D14" s="13"/>
      <c r="E14" s="13"/>
      <c r="F14" s="4" t="str">
        <f>IF(AND($B$21&lt;=30,$B$21&gt;=12),"12","")</f>
        <v>12</v>
      </c>
      <c r="G14" s="5">
        <f>IF($F14&lt;&gt;"",$B$19*POWER($B$25+1,55),"")</f>
        <v>2013.0230818793743</v>
      </c>
      <c r="H14" s="5">
        <f>IF($F14&lt;&gt;"",$B$19*POWER($B$25+1,56),"")</f>
        <v>2047.644781838633</v>
      </c>
      <c r="I14" s="5">
        <f>IF($F14&lt;&gt;"",$B$19*POWER($B$25+1,57),"")</f>
        <v>2082.8619355305673</v>
      </c>
      <c r="J14" s="5">
        <f>IF($F14&lt;&gt;"",$B$19*POWER($B$25+1,58),"")</f>
        <v>2118.6847840799119</v>
      </c>
      <c r="K14" s="5">
        <f>IF($F14&lt;&gt;"",$B$19*POWER($B$25+1,59),"")</f>
        <v>2155.1237447470585</v>
      </c>
    </row>
    <row r="15" spans="1:11">
      <c r="A15" s="13"/>
      <c r="B15" s="13"/>
      <c r="C15" s="13"/>
      <c r="D15" s="13"/>
      <c r="E15" s="13"/>
      <c r="F15" s="4" t="str">
        <f>IF(AND($B$21&lt;=30,$B$21&gt;=13),"13","")</f>
        <v>13</v>
      </c>
      <c r="G15" s="5">
        <f>IF($F15&lt;&gt;"",$B$19*POWER($B$25+1,60),"")</f>
        <v>2192.1894139573915</v>
      </c>
      <c r="H15" s="5">
        <f>IF($F15&lt;&gt;"",$B$19*POWER($B$25+1,61),"")</f>
        <v>2229.8925703827194</v>
      </c>
      <c r="I15" s="5">
        <f>IF($F15&lt;&gt;"",$B$19*POWER($B$25+1,62),"")</f>
        <v>2268.2441780757085</v>
      </c>
      <c r="J15" s="5">
        <f>IF($F15&lt;&gt;"",$B$19*POWER($B$25+1,63),"")</f>
        <v>2307.2553896582176</v>
      </c>
      <c r="K15" s="5">
        <f>IF($F15&lt;&gt;"",$B$19*POWER($B$25+1,64),"")</f>
        <v>2346.9375495644772</v>
      </c>
    </row>
    <row r="16" spans="1:11">
      <c r="A16" s="13"/>
      <c r="B16" s="13"/>
      <c r="C16" s="13"/>
      <c r="D16" s="13"/>
      <c r="E16" s="13"/>
      <c r="F16" s="4" t="str">
        <f>IF(AND($B$21&lt;=30,$B$21&gt;=14),"14","")</f>
        <v>14</v>
      </c>
      <c r="G16" s="5">
        <f>IF($F16&lt;&gt;"",$B$19*POWER($B$25+1,65),"")</f>
        <v>2387.3021973400391</v>
      </c>
      <c r="H16" s="5">
        <f>IF($F16&lt;&gt;"",$B$19*POWER($B$25+1,66),"")</f>
        <v>2428.3610709974737</v>
      </c>
      <c r="I16" s="5">
        <f>IF($F16&lt;&gt;"",$B$19*POWER($B$25+1,67),"")</f>
        <v>2470.126110429771</v>
      </c>
      <c r="J16" s="5">
        <f>IF($F16&lt;&gt;"",$B$19*POWER($B$25+1,68),"")</f>
        <v>2512.6094608824583</v>
      </c>
      <c r="K16" s="5">
        <f>IF($F16&lt;&gt;"",$B$19*POWER($B$25+1,69),"")</f>
        <v>2555.8234764854237</v>
      </c>
    </row>
    <row r="17" spans="1:11" ht="15.75" thickBot="1">
      <c r="A17" s="13"/>
      <c r="B17" s="13"/>
      <c r="C17" s="13"/>
      <c r="D17" s="13"/>
      <c r="E17" s="13"/>
      <c r="F17" s="4" t="str">
        <f>IF(AND($B$21&lt;=30,$B$21&gt;=15),"15","")</f>
        <v>15</v>
      </c>
      <c r="G17" s="5">
        <f>IF($F17&lt;&gt;"",$B$19*POWER($B$25+1,70),"")</f>
        <v>2599.7807238454961</v>
      </c>
      <c r="H17" s="5">
        <f>IF($F17&lt;&gt;"",$B$19*POWER($B$25+1,71),"")</f>
        <v>2644.4939857007985</v>
      </c>
      <c r="I17" s="5">
        <f>IF($F17&lt;&gt;"",$B$19*POWER($B$25+1,72),"")</f>
        <v>2689.9762646379672</v>
      </c>
      <c r="J17" s="5">
        <f>IF($F17&lt;&gt;"",$B$19*POWER($B$25+1,73),"")</f>
        <v>2736.2407868732876</v>
      </c>
      <c r="K17" s="5">
        <f>IF($F17&lt;&gt;"",$B$19*POWER($B$25+1,74),"")</f>
        <v>2783.3010060988754</v>
      </c>
    </row>
    <row r="18" spans="1:11" ht="15.75" thickTop="1">
      <c r="A18" s="22" t="s">
        <v>12</v>
      </c>
      <c r="B18" s="23"/>
      <c r="C18" s="13"/>
      <c r="D18" s="13"/>
      <c r="E18" s="13"/>
      <c r="F18" s="4" t="str">
        <f>IF(AND($B$21&lt;=30,$B$21&gt;=16),"16","")</f>
        <v>16</v>
      </c>
      <c r="G18" s="5">
        <f>IF($F18&lt;&gt;"",$B$19*POWER($B$25+1,75),"")</f>
        <v>2831.1706073949972</v>
      </c>
      <c r="H18" s="5">
        <f>IF($F18&lt;&gt;"",$B$19*POWER($B$25+1,76),"")</f>
        <v>2879.8635112096863</v>
      </c>
      <c r="I18" s="5">
        <f>IF($F18&lt;&gt;"",$B$19*POWER($B$25+1,77),"")</f>
        <v>2929.3938774067947</v>
      </c>
      <c r="J18" s="5">
        <f>IF($F18&lt;&gt;"",$B$19*POWER($B$25+1,78),"")</f>
        <v>2979.7761093836771</v>
      </c>
      <c r="K18" s="5">
        <f>IF($F18&lt;&gt;"",$B$19*POWER($B$25+1,79),"")</f>
        <v>3031.0248582596864</v>
      </c>
    </row>
    <row r="19" spans="1:11">
      <c r="A19" s="11" t="s">
        <v>0</v>
      </c>
      <c r="B19" s="6">
        <v>788</v>
      </c>
      <c r="C19" s="13"/>
      <c r="D19" s="13"/>
      <c r="E19" s="13"/>
      <c r="F19" s="4" t="str">
        <f>IF(AND($B$21&lt;=30,$B$21&gt;=17),"17","")</f>
        <v>17</v>
      </c>
      <c r="G19" s="5">
        <f>IF($F19&lt;&gt;"",$B$19*POWER($B$25+1,80),"")</f>
        <v>3083.1550271367114</v>
      </c>
      <c r="H19" s="5">
        <f>IF($F19&lt;&gt;"",$B$19*POWER($B$25+1,81),"")</f>
        <v>3136.1817754329841</v>
      </c>
      <c r="I19" s="5">
        <f>IF($F19&lt;&gt;"",$B$19*POWER($B$25+1,82),"")</f>
        <v>3190.1205232914353</v>
      </c>
      <c r="J19" s="5">
        <f>IF($F19&lt;&gt;"",$B$19*POWER($B$25+1,83),"")</f>
        <v>3244.9869560638567</v>
      </c>
      <c r="K19" s="5">
        <f>IF($F19&lt;&gt;"",$B$19*POWER($B$25+1,84),"")</f>
        <v>3300.7970288721936</v>
      </c>
    </row>
    <row r="20" spans="1:11">
      <c r="A20" s="11" t="s">
        <v>1</v>
      </c>
      <c r="B20" s="6">
        <v>10000</v>
      </c>
      <c r="C20" s="13"/>
      <c r="D20" s="13"/>
      <c r="E20" s="13"/>
      <c r="F20" s="4" t="str">
        <f>IF(AND($B$21&lt;=30,$B$21&gt;=18),"18","")</f>
        <v>18</v>
      </c>
      <c r="G20" s="5">
        <f>IF($F20&lt;&gt;"",$B$19*POWER($B$25+1,85),"")</f>
        <v>3357.56697124828</v>
      </c>
      <c r="H20" s="5">
        <f>IF($F20&lt;&gt;"",$B$19*POWER($B$25+1,86),"")</f>
        <v>3415.3132918533797</v>
      </c>
      <c r="I20" s="5">
        <f>IF($F20&lt;&gt;"",$B$19*POWER($B$25+1,87),"")</f>
        <v>3474.0527832788925</v>
      </c>
      <c r="J20" s="5">
        <f>IF($F20&lt;&gt;"",$B$19*POWER($B$25+1,88),"")</f>
        <v>3533.802526929629</v>
      </c>
      <c r="K20" s="5">
        <f>IF($F20&lt;&gt;"",$B$19*POWER($B$25+1,89),"")</f>
        <v>3594.5798979910692</v>
      </c>
    </row>
    <row r="21" spans="1:11">
      <c r="A21" s="11" t="s">
        <v>17</v>
      </c>
      <c r="B21" s="7">
        <v>30</v>
      </c>
      <c r="C21" s="13"/>
      <c r="D21" s="13"/>
      <c r="E21" s="13"/>
      <c r="F21" s="4" t="str">
        <f>IF(AND($B$21&lt;=30,$B$21&gt;=19),"19","")</f>
        <v>19</v>
      </c>
      <c r="G21" s="5">
        <f>IF($F21&lt;&gt;"",$B$19*POWER($B$25+1,90),"")</f>
        <v>3656.4025704820569</v>
      </c>
      <c r="H21" s="5">
        <f>IF($F21&lt;&gt;"",$B$19*POWER($B$25+1,91),"")</f>
        <v>3719.2885223943936</v>
      </c>
      <c r="I21" s="5">
        <f>IF($F21&lt;&gt;"",$B$19*POWER($B$25+1,92),"")</f>
        <v>3783.2560409208249</v>
      </c>
      <c r="J21" s="5">
        <f>IF($F21&lt;&gt;"",$B$19*POWER($B$25+1,93),"")</f>
        <v>3848.3237277729418</v>
      </c>
      <c r="K21" s="5">
        <f>IF($F21&lt;&gt;"",$B$19*POWER($B$25+1,94),"")</f>
        <v>3914.5105045905525</v>
      </c>
    </row>
    <row r="22" spans="1:11">
      <c r="A22" s="11" t="s">
        <v>2</v>
      </c>
      <c r="B22" s="8">
        <v>5</v>
      </c>
      <c r="C22" s="13"/>
      <c r="D22" s="13"/>
      <c r="E22" s="13"/>
      <c r="F22" s="4" t="str">
        <f>IF(AND($B$21&lt;=30,$B$21&gt;=20),"20","")</f>
        <v>20</v>
      </c>
      <c r="G22" s="5">
        <f>IF($F22&lt;&gt;"",$B$19*POWER($B$25+1,95),"")</f>
        <v>3981.835618444075</v>
      </c>
      <c r="H22" s="5">
        <f>IF($F22&lt;&gt;"",$B$19*POWER($B$25+1,96),"")</f>
        <v>4050.318647431578</v>
      </c>
      <c r="I22" s="5">
        <f>IF($F22&lt;&gt;"",$B$19*POWER($B$25+1,97),"")</f>
        <v>4119.9795063720749</v>
      </c>
      <c r="J22" s="5">
        <f>IF($F22&lt;&gt;"",$B$19*POWER($B$25+1,98),"")</f>
        <v>4190.8384525967431</v>
      </c>
      <c r="K22" s="5">
        <f>IF($F22&lt;&gt;"",$B$19*POWER($B$25+1,99),"")</f>
        <v>4262.9160918397383</v>
      </c>
    </row>
    <row r="23" spans="1:11">
      <c r="A23" s="11" t="s">
        <v>14</v>
      </c>
      <c r="B23" s="9">
        <f>(B20/B19)-1</f>
        <v>11.690355329949238</v>
      </c>
      <c r="C23" s="13"/>
      <c r="D23" s="13"/>
      <c r="E23" s="13"/>
      <c r="F23" s="4" t="str">
        <f>IF(AND($B$21&lt;=30,$B$21&gt;=21),"21","")</f>
        <v>21</v>
      </c>
      <c r="G23" s="5">
        <f>IF($F23&lt;&gt;"",$B$19*POWER($B$25+1,100),"")</f>
        <v>4336.233384230336</v>
      </c>
      <c r="H23" s="5">
        <f>IF($F23&lt;&gt;"",$B$19*POWER($B$25+1,101),"")</f>
        <v>4410.8116503881092</v>
      </c>
      <c r="I23" s="5">
        <f>IF($F23&lt;&gt;"",$B$19*POWER($B$25+1,102),"")</f>
        <v>4486.672577622965</v>
      </c>
      <c r="J23" s="5">
        <f>IF($F23&lt;&gt;"",$B$19*POWER($B$25+1,103),"")</f>
        <v>4563.8382262417917</v>
      </c>
      <c r="K23" s="5">
        <f>IF($F23&lt;&gt;"",$B$19*POWER($B$25+1,104),"")</f>
        <v>4642.3310359635861</v>
      </c>
    </row>
    <row r="24" spans="1:11">
      <c r="A24" s="11" t="s">
        <v>15</v>
      </c>
      <c r="B24" s="9">
        <f>POWER((B20/B19),1/(B21+((B21-1)/4)))-1</f>
        <v>7.059067734832758E-2</v>
      </c>
      <c r="C24" s="13"/>
      <c r="D24" s="13"/>
      <c r="E24" s="13"/>
      <c r="F24" s="4" t="str">
        <f>IF(AND($B$21&lt;=30,$B$21&gt;=22),"22","")</f>
        <v>22</v>
      </c>
      <c r="G24" s="5">
        <f>IF($F24&lt;&gt;"",$B$19*POWER($B$25+1,105),"")</f>
        <v>4722.1738324449007</v>
      </c>
      <c r="H24" s="5">
        <f>IF($F24&lt;&gt;"",$B$19*POWER($B$25+1,106),"")</f>
        <v>4803.3898339175375</v>
      </c>
      <c r="I24" s="5">
        <f>IF($F24&lt;&gt;"",$B$19*POWER($B$25+1,107),"")</f>
        <v>4886.0026579403911</v>
      </c>
      <c r="J24" s="5">
        <f>IF($F24&lt;&gt;"",$B$19*POWER($B$25+1,108),"")</f>
        <v>4970.0363282674207</v>
      </c>
      <c r="K24" s="5">
        <f>IF($F24&lt;&gt;"",$B$19*POWER($B$25+1,109),"")</f>
        <v>5055.5152818337356</v>
      </c>
    </row>
    <row r="25" spans="1:11" ht="15.75" thickBot="1">
      <c r="A25" s="12" t="s">
        <v>16</v>
      </c>
      <c r="B25" s="10">
        <f>POWER(B24+1,1/(B22-1))-1</f>
        <v>1.7198858905748349E-2</v>
      </c>
      <c r="C25" s="13"/>
      <c r="D25" s="13"/>
      <c r="E25" s="13"/>
      <c r="F25" s="4" t="str">
        <f>IF(AND($B$21&lt;=30,$B$21&gt;=23),"23","")</f>
        <v>23</v>
      </c>
      <c r="G25" s="5">
        <f>IF($F25&lt;&gt;"",$B$19*POWER($B$25+1,110),"")</f>
        <v>5142.4643758618495</v>
      </c>
      <c r="H25" s="5">
        <f>IF($F25&lt;&gt;"",$B$19*POWER($B$25+1,111),"")</f>
        <v>5230.9088950901332</v>
      </c>
      <c r="I25" s="5">
        <f>IF($F25&lt;&gt;"",$B$19*POWER($B$25+1,112),"")</f>
        <v>5320.8745591256138</v>
      </c>
      <c r="J25" s="5">
        <f>IF($F25&lt;&gt;"",$B$19*POWER($B$25+1,113),"")</f>
        <v>5412.3875299232004</v>
      </c>
      <c r="K25" s="5">
        <f>IF($F25&lt;&gt;"",$B$19*POWER($B$25+1,114),"")</f>
        <v>5505.4744193935821</v>
      </c>
    </row>
    <row r="26" spans="1:11" ht="15.75" thickTop="1">
      <c r="A26" s="16"/>
      <c r="B26" s="16"/>
      <c r="C26" s="13"/>
      <c r="D26" s="13"/>
      <c r="E26" s="13"/>
      <c r="F26" s="4" t="str">
        <f>IF(AND($B$21&lt;=30,$B$21&gt;=24),"24","")</f>
        <v>24</v>
      </c>
      <c r="G26" s="5">
        <f>IF($F26&lt;&gt;"",$B$19*POWER($B$25+1,115),"")</f>
        <v>5600.1622971419383</v>
      </c>
      <c r="H26" s="5">
        <f>IF($F26&lt;&gt;"",$B$19*POWER($B$25+1,116),"")</f>
        <v>5696.4786983397753</v>
      </c>
      <c r="I26" s="5">
        <f>IF($F26&lt;&gt;"",$B$19*POWER($B$25+1,117),"")</f>
        <v>5794.4516317321222</v>
      </c>
      <c r="J26" s="5">
        <f>IF($F26&lt;&gt;"",$B$19*POWER($B$25+1,118),"")</f>
        <v>5894.1095877824664</v>
      </c>
      <c r="K26" s="5">
        <f>IF($F26&lt;&gt;"",$B$19*POWER($B$25+1,119),"")</f>
        <v>5995.4815469577543</v>
      </c>
    </row>
    <row r="27" spans="1:11">
      <c r="A27" s="13"/>
      <c r="B27" s="13"/>
      <c r="C27" s="13"/>
      <c r="D27" s="13"/>
      <c r="E27" s="13"/>
      <c r="F27" s="4" t="str">
        <f>IF(AND($B$21&lt;=30,$B$21&gt;=25),"25","")</f>
        <v>25</v>
      </c>
      <c r="G27" s="5">
        <f>IF($F27&lt;&gt;"",$B$19*POWER($B$25+1,120),"")</f>
        <v>6098.5969881559004</v>
      </c>
      <c r="H27" s="5">
        <f>IF($F27&lt;&gt;"",$B$19*POWER($B$25+1,121),"")</f>
        <v>6203.4858972782149</v>
      </c>
      <c r="I27" s="5">
        <f>IF($F27&lt;&gt;"",$B$19*POWER($B$25+1,122),"")</f>
        <v>6310.1787759493045</v>
      </c>
      <c r="J27" s="5">
        <f>IF($F27&lt;&gt;"",$B$19*POWER($B$25+1,123),"")</f>
        <v>6418.7066503869046</v>
      </c>
      <c r="K27" s="5">
        <f>IF($F27&lt;&gt;"",$B$19*POWER($B$25+1,124),"")</f>
        <v>6529.1010804242978</v>
      </c>
    </row>
    <row r="28" spans="1:11">
      <c r="A28" s="13"/>
      <c r="B28" s="13"/>
      <c r="C28" s="13"/>
      <c r="D28" s="13"/>
      <c r="E28" s="13"/>
      <c r="F28" s="4" t="str">
        <f>IF(AND($B$21&lt;=30,$B$21&gt;=26),"26","")</f>
        <v>26</v>
      </c>
      <c r="G28" s="5">
        <f>IF($F28&lt;&gt;"",$B$19*POWER($B$25+1,125),"")</f>
        <v>6641.3941686878843</v>
      </c>
      <c r="H28" s="5">
        <f>IF($F28&lt;&gt;"",$B$19*POWER($B$25+1,126),"")</f>
        <v>6755.6185699326061</v>
      </c>
      <c r="I28" s="5">
        <f>IF($F28&lt;&gt;"",$B$19*POWER($B$25+1,127),"")</f>
        <v>6871.8075005379305</v>
      </c>
      <c r="J28" s="5">
        <f>IF($F28&lt;&gt;"",$B$19*POWER($B$25+1,128),"")</f>
        <v>6989.994748167147</v>
      </c>
      <c r="K28" s="5">
        <f>IF($F28&lt;&gt;"",$B$19*POWER($B$25+1,129),"")</f>
        <v>7110.2146815927954</v>
      </c>
    </row>
    <row r="29" spans="1:11">
      <c r="A29" s="13"/>
      <c r="B29" s="13"/>
      <c r="C29" s="13"/>
      <c r="D29" s="13"/>
      <c r="E29" s="13"/>
      <c r="F29" s="4" t="str">
        <f>IF(AND($B$21&lt;=30,$B$21&gt;=27),"27","")</f>
        <v>27</v>
      </c>
      <c r="G29" s="5">
        <f>IF($F29&lt;&gt;"",$B$19*POWER($B$25+1,130),"")</f>
        <v>7232.5022606910907</v>
      </c>
      <c r="H29" s="5">
        <f>IF($F29&lt;&gt;"",$B$19*POWER($B$25+1,131),"")</f>
        <v>7356.8930466082229</v>
      </c>
      <c r="I29" s="5">
        <f>IF($F29&lt;&gt;"",$B$19*POWER($B$25+1,132),"")</f>
        <v>7483.4232121015202</v>
      </c>
      <c r="J29" s="5">
        <f>IF($F29&lt;&gt;"",$B$19*POWER($B$25+1,133),"")</f>
        <v>7612.1295520584554</v>
      </c>
      <c r="K29" s="5">
        <f>IF($F29&lt;&gt;"",$B$19*POWER($B$25+1,134),"")</f>
        <v>7743.0494941965871</v>
      </c>
    </row>
    <row r="30" spans="1:11">
      <c r="A30" s="13"/>
      <c r="B30" s="13"/>
      <c r="C30" s="13"/>
      <c r="D30" s="13"/>
      <c r="E30" s="13"/>
      <c r="F30" s="4" t="str">
        <f>IF(AND($B$21&lt;=30,$B$21&gt;=28),"28","")</f>
        <v>28</v>
      </c>
      <c r="G30" s="5">
        <f>IF($F30&lt;&gt;"",$B$19*POWER($B$25+1,135),"")</f>
        <v>7876.2211099474998</v>
      </c>
      <c r="H30" s="5">
        <f>IF($F30&lt;&gt;"",$B$19*POWER($B$25+1,136),"")</f>
        <v>8011.6831255279658</v>
      </c>
      <c r="I30" s="5">
        <f>IF($F30&lt;&gt;"",$B$19*POWER($B$25+1,137),"")</f>
        <v>8149.4749332014844</v>
      </c>
      <c r="J30" s="5">
        <f>IF($F30&lt;&gt;"",$B$19*POWER($B$25+1,138),"")</f>
        <v>8289.6366027335516</v>
      </c>
      <c r="K30" s="5">
        <f>IF($F30&lt;&gt;"",$B$19*POWER($B$25+1,139),"")</f>
        <v>8432.2088930438931</v>
      </c>
    </row>
    <row r="31" spans="1:11">
      <c r="A31" s="13"/>
      <c r="B31" s="13"/>
      <c r="C31" s="13"/>
      <c r="D31" s="13"/>
      <c r="E31" s="13"/>
      <c r="F31" s="4" t="str">
        <f>IF(AND($B$21&lt;=30,$B$21&gt;=29),"29","")</f>
        <v>29</v>
      </c>
      <c r="G31" s="5">
        <f>IF($F31&lt;&gt;"",$B$19*POWER($B$25+1,140),"")</f>
        <v>8577.233264059154</v>
      </c>
      <c r="H31" s="5">
        <f>IF($F31&lt;&gt;"",$B$19*POWER($B$25+1,141),"")</f>
        <v>8724.7518887693968</v>
      </c>
      <c r="I31" s="5">
        <f>IF($F31&lt;&gt;"",$B$19*POWER($B$25+1,142),"")</f>
        <v>8874.8076654920042</v>
      </c>
      <c r="J31" s="5">
        <f>IF($F31&lt;&gt;"",$B$19*POWER($B$25+1,143),"")</f>
        <v>9027.4442303464548</v>
      </c>
      <c r="K31" s="5">
        <f>IF($F31&lt;&gt;"",$B$19*POWER($B$25+1,144),"")</f>
        <v>9182.7059699436959</v>
      </c>
    </row>
    <row r="32" spans="1:11">
      <c r="A32" s="13"/>
      <c r="B32" s="13"/>
      <c r="C32" s="13"/>
      <c r="D32" s="13"/>
      <c r="E32" s="13"/>
      <c r="F32" s="4" t="str">
        <f>IF(AND($B$21&lt;=30,$B$21&gt;=30),"30","")</f>
        <v>30</v>
      </c>
      <c r="G32" s="5">
        <f>IF($F32&lt;&gt;"",$B$19*POWER($B$25+1,145),"")</f>
        <v>9340.63803429373</v>
      </c>
      <c r="H32" s="5">
        <f>IF($F32&lt;&gt;"",$B$19*POWER($B$25+1,146),"")</f>
        <v>9501.2863499352152</v>
      </c>
      <c r="I32" s="5">
        <f>IF($F32&lt;&gt;"",$B$19*POWER($B$25+1,147),"")</f>
        <v>9664.6976332908635</v>
      </c>
      <c r="J32" s="5">
        <f>IF($F32&lt;&gt;"",$B$19*POWER($B$25+1,148),"")</f>
        <v>9830.9194042525542</v>
      </c>
      <c r="K32" s="5">
        <f>IF($F32&lt;&gt;"",$B$19*POWER($B$25+1,149),"")</f>
        <v>10000.000000000076</v>
      </c>
    </row>
    <row r="33" spans="1:12">
      <c r="F33" s="13"/>
      <c r="G33" s="13"/>
      <c r="H33" s="13"/>
      <c r="I33" s="13"/>
      <c r="J33" s="13"/>
      <c r="K33" s="13"/>
      <c r="L33" s="13"/>
    </row>
    <row r="34" spans="1:12">
      <c r="A34" s="2" t="s">
        <v>13</v>
      </c>
      <c r="B34" s="3" t="s">
        <v>10</v>
      </c>
      <c r="C34" s="3" t="s">
        <v>11</v>
      </c>
      <c r="F34" s="13"/>
      <c r="G34" s="13"/>
      <c r="H34" s="13"/>
      <c r="I34" s="13"/>
      <c r="J34" s="13"/>
      <c r="K34" s="13"/>
      <c r="L34" s="13"/>
    </row>
    <row r="35" spans="1:12">
      <c r="A35" s="19" t="s">
        <v>18</v>
      </c>
      <c r="B35" s="17">
        <v>822</v>
      </c>
      <c r="C35" s="18" t="str">
        <f>IF(AND(B35&gt;=$G$3,B35&lt;=$K$3),"Grupo 1",IF(AND(B35&gt;=$G$4,B35&lt;=$K$4),"Grupo 2",IF(AND(B35&gt;=$G$5,B35&lt;=$K$5),"Grupo 3",IF(AND(B35&gt;=$G$5,B35&lt;=$K$5),"Grupo 3",IF(AND(B35&gt;=$G$6,B35&lt;=$K$6),"Grupo 4",IF(AND(B35&gt;=$G$7,B35&lt;=$K$7),"Grupo 5",IF(AND(B35&gt;=$G$8,B35&lt;=$K$8),"Grupo 6",IF(AND(B35&gt;=$G$9,B35&lt;=$K$9),"Grupo 7",IF(AND(B35&gt;=$G$10,B35&lt;=$K$10),"Grupo 8",IF(AND(B35&gt;=$G$11,B35&lt;=$K$11),"Grupo 10",IF(AND(B35&gt;=$G$12,B35&lt;=$K$12),"Grupo 11",IF(AND(B35&gt;=$G$13,B35&lt;=$K$13),"Grupo 12",IF(AND(B35&gt;=$G$14,B35&lt;=$K$14),"Grupo 13",IF(AND(B35&gt;=$G$15,B35&lt;=$K$15),"Grupo 13",IF(AND(B35&gt;=$G$16,B35&lt;=$K$16),"Grupo 14",IF(AND(B35&gt;=$G$17,B35&lt;=$K$17),"Grupo 15",IF(AND(B35&gt;=$G$18,B35&lt;=$K$18),"Grupo 16",IF(AND(B35&gt;=$G$19,B35&lt;=$K$19),"Grupo 17",IF(AND(B35&gt;=$G$20,B35&lt;=$K$20),"Grupo 18",IF(AND(B35&gt;=$G$21,B35&lt;=$K$21),"Grupo 19",IF(AND(B35&gt;=$G$22,B35&lt;=$K$22),"Grupo 20",IF(AND(B35&gt;=$G$23,B35&lt;=$K$23),"Grupo 21",IF(AND(B35&gt;=$G$24,B35&lt;=$K$24),"Grupo22",IF(AND(B35&gt;=$G$25,B35&lt;=$K$25),"Grupo23",IF(AND(B35&gt;=$G$26,B35&lt;=$K$26),"Grupo24",IF(AND(B35&gt;=$G$27,B35&lt;=$K$27),"Grupo25",IF(AND(B35&gt;=$G$28,B35&lt;=$K$28),"Grupo26",IF(AND(B35&gt;=$G$29,B35&lt;=$K$29),"Grupo27",IF(AND(B35&gt;=$G$30,B35&lt;=$K$30),"Grupo28",IF(AND(B35&gt;=$G$31,B35&lt;=$K$31),"Grupo29",IF(AND(B35&gt;=$G$32,B35&lt;=$K$32),"Grupo30","Enquadrar na Tabela")))))))))))))))))))))))))))))))</f>
        <v>Grupo 1</v>
      </c>
      <c r="F35" s="13"/>
      <c r="G35" s="13"/>
      <c r="H35" s="13"/>
      <c r="I35" s="13"/>
      <c r="J35" s="13"/>
      <c r="K35" s="13"/>
      <c r="L35" s="13"/>
    </row>
    <row r="36" spans="1:12">
      <c r="A36" s="19" t="s">
        <v>19</v>
      </c>
      <c r="B36" s="17">
        <v>902</v>
      </c>
      <c r="C36" s="18" t="str">
        <f t="shared" ref="C36:C64" si="0">IF(AND(B36&gt;=$G$3,B36&lt;=$K$3),"Grupo 1",IF(AND(B36&gt;=$G$4,B36&lt;=$K$4),"Grupo 2",IF(AND(B36&gt;=$G$5,B36&lt;=$K$5),"Grupo 3",IF(AND(B36&gt;=$G$5,B36&lt;=$K$5),"Grupo 3",IF(AND(B36&gt;=$G$6,B36&lt;=$K$6),"Grupo 4",IF(AND(B36&gt;=$G$7,B36&lt;=$K$7),"Grupo 5",IF(AND(B36&gt;=$G$8,B36&lt;=$K$8),"Grupo 6",IF(AND(B36&gt;=$G$9,B36&lt;=$K$9),"Grupo 7",IF(AND(B36&gt;=$G$10,B36&lt;=$K$10),"Grupo 8",IF(AND(B36&gt;=$G$11,B36&lt;=$K$11),"Grupo 10",IF(AND(B36&gt;=$G$12,B36&lt;=$K$12),"Grupo 11",IF(AND(B36&gt;=$G$13,B36&lt;=$K$13),"Grupo 12",IF(AND(B36&gt;=$G$14,B36&lt;=$K$14),"Grupo 13",IF(AND(B36&gt;=$G$15,B36&lt;=$K$15),"Grupo 13",IF(AND(B36&gt;=$G$16,B36&lt;=$K$16),"Grupo 14",IF(AND(B36&gt;=$G$17,B36&lt;=$K$17),"Grupo 15",IF(AND(B36&gt;=$G$18,B36&lt;=$K$18),"Grupo 16",IF(AND(B36&gt;=$G$19,B36&lt;=$K$19),"Grupo 17",IF(AND(B36&gt;=$G$20,B36&lt;=$K$20),"Grupo 18",IF(AND(B36&gt;=$G$21,B36&lt;=$K$21),"Grupo 19",IF(AND(B36&gt;=$G$22,B36&lt;=$K$22),"Grupo 20",IF(AND(B36&gt;=$G$23,B36&lt;=$K$23),"Grupo 21",IF(AND(B36&gt;=$G$24,B36&lt;=$K$24),"Grupo22",IF(AND(B36&gt;=$G$25,B36&lt;=$K$25),"Grupo23",IF(AND(B36&gt;=$G$26,B36&lt;=$K$26),"Grupo24",IF(AND(B36&gt;=$G$27,B36&lt;=$K$27),"Grupo25",IF(AND(B36&gt;=$G$28,B36&lt;=$K$28),"Grupo26",IF(AND(B36&gt;=$G$29,B36&lt;=$K$29),"Grupo27",IF(AND(B36&gt;=$G$30,B36&lt;=$K$30),"Grupo28",IF(AND(B36&gt;=$G$31,B36&lt;=$K$31),"Grupo29",IF(AND(B36&gt;=$G$32,B36&lt;=$K$32),"Grupo30","Enquadrar na Tabela")))))))))))))))))))))))))))))))</f>
        <v>Grupo 2</v>
      </c>
      <c r="F36" s="13"/>
      <c r="G36" s="13"/>
      <c r="H36" s="13"/>
      <c r="I36" s="13"/>
      <c r="J36" s="13"/>
      <c r="K36" s="13"/>
      <c r="L36" s="13"/>
    </row>
    <row r="37" spans="1:12">
      <c r="A37" s="19" t="s">
        <v>20</v>
      </c>
      <c r="B37" s="17">
        <v>1125</v>
      </c>
      <c r="C37" s="18" t="str">
        <f t="shared" si="0"/>
        <v>Grupo 5</v>
      </c>
      <c r="F37" s="13"/>
      <c r="G37" s="13"/>
      <c r="H37" s="13"/>
      <c r="I37" s="13"/>
      <c r="J37" s="13"/>
      <c r="K37" s="13"/>
      <c r="L37" s="13"/>
    </row>
    <row r="38" spans="1:12">
      <c r="A38" s="19" t="s">
        <v>18</v>
      </c>
      <c r="B38" s="17">
        <v>2300</v>
      </c>
      <c r="C38" s="18" t="str">
        <f t="shared" si="0"/>
        <v>Grupo 13</v>
      </c>
      <c r="F38" s="13"/>
      <c r="G38" s="13"/>
      <c r="H38" s="13"/>
      <c r="I38" s="13"/>
      <c r="J38" s="13"/>
      <c r="K38" s="13"/>
      <c r="L38" s="13"/>
    </row>
    <row r="39" spans="1:12">
      <c r="A39" s="19" t="s">
        <v>21</v>
      </c>
      <c r="B39" s="17">
        <v>3900</v>
      </c>
      <c r="C39" s="18" t="str">
        <f t="shared" si="0"/>
        <v>Grupo 19</v>
      </c>
      <c r="F39" s="13"/>
      <c r="G39" s="13"/>
      <c r="H39" s="13"/>
      <c r="I39" s="13"/>
      <c r="J39" s="13"/>
      <c r="K39" s="13"/>
      <c r="L39" s="13"/>
    </row>
    <row r="40" spans="1:12">
      <c r="A40" s="19" t="s">
        <v>22</v>
      </c>
      <c r="B40" s="17">
        <v>5400</v>
      </c>
      <c r="C40" s="18" t="str">
        <f t="shared" si="0"/>
        <v>Grupo23</v>
      </c>
      <c r="F40" s="13"/>
      <c r="G40" s="13"/>
      <c r="H40" s="13"/>
      <c r="I40" s="13"/>
      <c r="J40" s="13"/>
      <c r="K40" s="13"/>
      <c r="L40" s="13"/>
    </row>
    <row r="41" spans="1:12">
      <c r="A41" s="19" t="s">
        <v>23</v>
      </c>
      <c r="B41" s="17">
        <v>6500</v>
      </c>
      <c r="C41" s="18" t="str">
        <f t="shared" si="0"/>
        <v>Grupo25</v>
      </c>
    </row>
    <row r="42" spans="1:12">
      <c r="A42" s="19" t="s">
        <v>24</v>
      </c>
      <c r="B42" s="17">
        <v>3000</v>
      </c>
      <c r="C42" s="18" t="str">
        <f t="shared" si="0"/>
        <v>Grupo 16</v>
      </c>
    </row>
    <row r="43" spans="1:12">
      <c r="A43" s="19" t="s">
        <v>25</v>
      </c>
      <c r="B43" s="17">
        <v>5910.7857142857101</v>
      </c>
      <c r="C43" s="18" t="str">
        <f t="shared" si="0"/>
        <v>Grupo24</v>
      </c>
    </row>
    <row r="44" spans="1:12">
      <c r="A44" s="19" t="s">
        <v>26</v>
      </c>
      <c r="B44" s="17">
        <v>5500</v>
      </c>
      <c r="C44" s="18" t="str">
        <f t="shared" si="0"/>
        <v>Grupo23</v>
      </c>
    </row>
    <row r="45" spans="1:12">
      <c r="A45" s="19" t="s">
        <v>27</v>
      </c>
      <c r="B45" s="17">
        <v>6247.4795918367399</v>
      </c>
      <c r="C45" s="18" t="str">
        <f t="shared" si="0"/>
        <v>Grupo25</v>
      </c>
    </row>
    <row r="46" spans="1:12">
      <c r="A46" s="19" t="s">
        <v>18</v>
      </c>
      <c r="B46" s="17">
        <v>6648.25</v>
      </c>
      <c r="C46" s="18" t="str">
        <f t="shared" si="0"/>
        <v>Grupo26</v>
      </c>
    </row>
    <row r="47" spans="1:12">
      <c r="A47" s="19" t="s">
        <v>18</v>
      </c>
      <c r="B47" s="17">
        <v>7049.0204081632701</v>
      </c>
      <c r="C47" s="18" t="str">
        <f t="shared" si="0"/>
        <v>Grupo26</v>
      </c>
    </row>
    <row r="48" spans="1:12">
      <c r="A48" s="19" t="s">
        <v>28</v>
      </c>
      <c r="B48" s="17">
        <v>7449.7908163265301</v>
      </c>
      <c r="C48" s="18" t="str">
        <f t="shared" si="0"/>
        <v>Grupo27</v>
      </c>
    </row>
    <row r="49" spans="1:3">
      <c r="A49" s="19" t="s">
        <v>18</v>
      </c>
      <c r="B49" s="17">
        <v>6899</v>
      </c>
      <c r="C49" s="18" t="str">
        <f t="shared" si="0"/>
        <v>Grupo26</v>
      </c>
    </row>
    <row r="50" spans="1:3">
      <c r="A50" s="19" t="s">
        <v>18</v>
      </c>
      <c r="B50" s="17">
        <v>7490.0826530612203</v>
      </c>
      <c r="C50" s="18" t="str">
        <f t="shared" si="0"/>
        <v>Grupo27</v>
      </c>
    </row>
    <row r="51" spans="1:3">
      <c r="A51" s="19" t="s">
        <v>18</v>
      </c>
      <c r="B51" s="17">
        <v>7700.5408163265301</v>
      </c>
      <c r="C51" s="18" t="str">
        <f t="shared" si="0"/>
        <v>Grupo27</v>
      </c>
    </row>
    <row r="52" spans="1:3">
      <c r="A52" s="19" t="s">
        <v>18</v>
      </c>
      <c r="B52" s="17">
        <v>7910.99897959183</v>
      </c>
      <c r="C52" s="18" t="str">
        <f t="shared" si="0"/>
        <v>Grupo28</v>
      </c>
    </row>
    <row r="53" spans="1:3">
      <c r="A53" s="19" t="s">
        <v>29</v>
      </c>
      <c r="B53" s="17">
        <v>8121.4571428571398</v>
      </c>
      <c r="C53" s="18" t="str">
        <f t="shared" si="0"/>
        <v>Grupo28</v>
      </c>
    </row>
    <row r="54" spans="1:3">
      <c r="A54" s="19" t="s">
        <v>23</v>
      </c>
      <c r="B54" s="17">
        <v>8331.9153061224406</v>
      </c>
      <c r="C54" s="18" t="str">
        <f t="shared" si="0"/>
        <v>Grupo28</v>
      </c>
    </row>
    <row r="55" spans="1:3">
      <c r="A55" s="19" t="s">
        <v>18</v>
      </c>
      <c r="B55" s="17">
        <v>900</v>
      </c>
      <c r="C55" s="18" t="str">
        <f t="shared" si="0"/>
        <v>Grupo 2</v>
      </c>
    </row>
    <row r="56" spans="1:3">
      <c r="A56" s="19" t="s">
        <v>18</v>
      </c>
      <c r="B56" s="17">
        <v>904</v>
      </c>
      <c r="C56" s="18" t="str">
        <f t="shared" si="0"/>
        <v>Grupo 2</v>
      </c>
    </row>
    <row r="57" spans="1:3">
      <c r="A57" s="19" t="s">
        <v>30</v>
      </c>
      <c r="B57" s="17">
        <v>1018.94</v>
      </c>
      <c r="C57" s="18" t="str">
        <f t="shared" si="0"/>
        <v>Grupo 4</v>
      </c>
    </row>
    <row r="58" spans="1:3">
      <c r="A58" s="19" t="s">
        <v>18</v>
      </c>
      <c r="B58" s="17">
        <v>917.65</v>
      </c>
      <c r="C58" s="18" t="str">
        <f t="shared" si="0"/>
        <v>Grupo 2</v>
      </c>
    </row>
    <row r="59" spans="1:3">
      <c r="A59" s="19" t="s">
        <v>31</v>
      </c>
      <c r="B59" s="17">
        <v>2855</v>
      </c>
      <c r="C59" s="18" t="str">
        <f t="shared" si="0"/>
        <v>Grupo 16</v>
      </c>
    </row>
    <row r="60" spans="1:3">
      <c r="A60" s="19" t="s">
        <v>33</v>
      </c>
      <c r="B60" s="17">
        <v>7880</v>
      </c>
      <c r="C60" s="18" t="str">
        <f t="shared" si="0"/>
        <v>Grupo28</v>
      </c>
    </row>
    <row r="61" spans="1:3">
      <c r="A61" s="19" t="s">
        <v>32</v>
      </c>
      <c r="B61" s="17">
        <v>9978.89</v>
      </c>
      <c r="C61" s="18" t="str">
        <f t="shared" si="0"/>
        <v>Grupo30</v>
      </c>
    </row>
    <row r="62" spans="1:3">
      <c r="A62" s="19" t="s">
        <v>34</v>
      </c>
      <c r="B62" s="17">
        <v>9180.98</v>
      </c>
      <c r="C62" s="18" t="str">
        <f t="shared" si="0"/>
        <v>Grupo29</v>
      </c>
    </row>
    <row r="63" spans="1:3">
      <c r="A63" s="19" t="s">
        <v>35</v>
      </c>
      <c r="B63" s="17">
        <v>9980</v>
      </c>
      <c r="C63" s="18" t="str">
        <f t="shared" si="0"/>
        <v>Grupo30</v>
      </c>
    </row>
    <row r="64" spans="1:3">
      <c r="A64" s="19" t="s">
        <v>36</v>
      </c>
      <c r="B64" s="17">
        <v>4004.78</v>
      </c>
      <c r="C64" s="18" t="str">
        <f t="shared" si="0"/>
        <v>Grupo 20</v>
      </c>
    </row>
    <row r="65" spans="1:3">
      <c r="A65" s="19" t="s">
        <v>18</v>
      </c>
      <c r="B65" s="17">
        <v>7507.9030148422999</v>
      </c>
      <c r="C65" s="18" t="str">
        <f>IF(AND(B65&gt;=$G$3,B65&lt;=$K$3),"Grupo 1",IF(AND(B65&gt;=$G$4,B65&lt;=$K$4),"Grupo 2",IF(AND(B65&gt;=$G$5,B65&lt;=$K$5),"Grupo 3",IF(AND(B65&gt;=$G$5,B65&lt;=$K$5),"Grupo 3",IF(AND(B65&gt;=$G$6,B65&lt;=$K$6),"Grupo 4",IF(AND(B65&gt;=$G$7,B65&lt;=$K$7),"Grupo 5",IF(AND(B65&gt;=$G$8,B65&lt;=$K$8),"Grupo 6",IF(AND(B65&gt;=$G$9,B65&lt;=$K$9),"Grupo 7",IF(AND(B65&gt;=$G$10,B65&lt;=$K$10),"Grupo 8",IF(AND(B65&gt;=$G$11,B65&lt;=$K$11),"Grupo 10",IF(AND(B65&gt;=$G$12,B65&lt;=$K$12),"Grupo 11",IF(AND(B65&gt;=$G$13,B65&lt;=$K$13),"Grupo 12",IF(AND(B65&gt;=$G$14,B65&lt;=$K$14),"Grupo 13",IF(AND(B65&gt;=$G$15,B65&lt;=$K$15),"Grupo 13",IF(AND(B65&gt;=$G$16,B65&lt;=$K$16),"Grupo 14",IF(AND(B65&gt;=$G$17,B65&lt;=$K$17),"Grupo 15",IF(AND(B65&gt;=$G$18,B65&lt;=$K$18),"Grupo 16",IF(AND(B65&gt;=$G$19,B65&lt;=$K$19),"Grupo 17",IF(AND(B65&gt;=$G$20,B65&lt;=$K$20),"Grupo 18",IF(AND(B65&gt;=$G$21,B65&lt;=$K$21),"Grupo 19",IF(AND(B65&gt;=$G$22,B65&lt;=$K$22),"Grupo 20",IF(AND(B65&gt;=$G$23,B65&lt;=$K$23),"Grupo 21",IF(AND(B65&gt;=$G$24,B65&lt;=$K$24),"Grupo22",IF(AND(B65&gt;=$G$25,B65&lt;=$K$25),"Grupo23",IF(AND(B65&gt;=$G$26,B65&lt;=$K$26),"Grupo24",IF(AND(B65&gt;=$G$27,B65&lt;=$K$27),"Grupo25",IF(AND(B65&gt;=$G$28,B65&lt;=$K$28),"Grupo26",IF(AND(B65&gt;=$G$29,B65&lt;=$K$29),"Grupo27",IF(AND(B65&gt;=$G$30,B65&lt;=$K$30),"Grupo28",IF(AND(B65&gt;=$G$31,B65&lt;=$K$31),"Grupo29",IF(AND(B65&gt;=$G$32,B65&lt;=$K$32),"Grupo30","Enquadrar na Tabela")))))))))))))))))))))))))))))))</f>
        <v>Grupo27</v>
      </c>
    </row>
    <row r="66" spans="1:3">
      <c r="A66" s="19" t="s">
        <v>19</v>
      </c>
      <c r="B66" s="17">
        <v>7841.5084472670196</v>
      </c>
      <c r="C66" s="18" t="str">
        <f t="shared" ref="C66:C94" si="1">IF(AND(B66&gt;=$G$3,B66&lt;=$K$3),"Grupo 1",IF(AND(B66&gt;=$G$4,B66&lt;=$K$4),"Grupo 2",IF(AND(B66&gt;=$G$5,B66&lt;=$K$5),"Grupo 3",IF(AND(B66&gt;=$G$5,B66&lt;=$K$5),"Grupo 3",IF(AND(B66&gt;=$G$6,B66&lt;=$K$6),"Grupo 4",IF(AND(B66&gt;=$G$7,B66&lt;=$K$7),"Grupo 5",IF(AND(B66&gt;=$G$8,B66&lt;=$K$8),"Grupo 6",IF(AND(B66&gt;=$G$9,B66&lt;=$K$9),"Grupo 7",IF(AND(B66&gt;=$G$10,B66&lt;=$K$10),"Grupo 8",IF(AND(B66&gt;=$G$11,B66&lt;=$K$11),"Grupo 10",IF(AND(B66&gt;=$G$12,B66&lt;=$K$12),"Grupo 11",IF(AND(B66&gt;=$G$13,B66&lt;=$K$13),"Grupo 12",IF(AND(B66&gt;=$G$14,B66&lt;=$K$14),"Grupo 13",IF(AND(B66&gt;=$G$15,B66&lt;=$K$15),"Grupo 13",IF(AND(B66&gt;=$G$16,B66&lt;=$K$16),"Grupo 14",IF(AND(B66&gt;=$G$17,B66&lt;=$K$17),"Grupo 15",IF(AND(B66&gt;=$G$18,B66&lt;=$K$18),"Grupo 16",IF(AND(B66&gt;=$G$19,B66&lt;=$K$19),"Grupo 17",IF(AND(B66&gt;=$G$20,B66&lt;=$K$20),"Grupo 18",IF(AND(B66&gt;=$G$21,B66&lt;=$K$21),"Grupo 19",IF(AND(B66&gt;=$G$22,B66&lt;=$K$22),"Grupo 20",IF(AND(B66&gt;=$G$23,B66&lt;=$K$23),"Grupo 21",IF(AND(B66&gt;=$G$24,B66&lt;=$K$24),"Grupo22",IF(AND(B66&gt;=$G$25,B66&lt;=$K$25),"Grupo23",IF(AND(B66&gt;=$G$26,B66&lt;=$K$26),"Grupo24",IF(AND(B66&gt;=$G$27,B66&lt;=$K$27),"Grupo25",IF(AND(B66&gt;=$G$28,B66&lt;=$K$28),"Grupo26",IF(AND(B66&gt;=$G$29,B66&lt;=$K$29),"Grupo27",IF(AND(B66&gt;=$G$30,B66&lt;=$K$30),"Grupo28",IF(AND(B66&gt;=$G$31,B66&lt;=$K$31),"Grupo29",IF(AND(B66&gt;=$G$32,B66&lt;=$K$32),"Grupo30","Enquadrar na Tabela")))))))))))))))))))))))))))))))</f>
        <v>Enquadrar na Tabela</v>
      </c>
    </row>
    <row r="67" spans="1:3">
      <c r="A67" s="19" t="s">
        <v>20</v>
      </c>
      <c r="B67" s="17">
        <v>8175.1138796917403</v>
      </c>
      <c r="C67" s="18" t="str">
        <f t="shared" si="1"/>
        <v>Grupo28</v>
      </c>
    </row>
    <row r="68" spans="1:3">
      <c r="A68" s="19" t="s">
        <v>18</v>
      </c>
      <c r="B68" s="17">
        <v>8508.7193121164601</v>
      </c>
      <c r="C68" s="18" t="str">
        <f t="shared" si="1"/>
        <v>Enquadrar na Tabela</v>
      </c>
    </row>
    <row r="69" spans="1:3">
      <c r="A69" s="19" t="s">
        <v>21</v>
      </c>
      <c r="B69" s="17">
        <v>8842.3247445411798</v>
      </c>
      <c r="C69" s="18" t="str">
        <f t="shared" si="1"/>
        <v>Grupo29</v>
      </c>
    </row>
    <row r="70" spans="1:3">
      <c r="A70" s="19" t="s">
        <v>22</v>
      </c>
      <c r="B70" s="17">
        <v>9175.9301769658996</v>
      </c>
      <c r="C70" s="18" t="str">
        <f t="shared" si="1"/>
        <v>Grupo29</v>
      </c>
    </row>
    <row r="71" spans="1:3">
      <c r="A71" s="19" t="s">
        <v>23</v>
      </c>
      <c r="B71" s="17">
        <v>9509.5356093906103</v>
      </c>
      <c r="C71" s="18" t="str">
        <f t="shared" si="1"/>
        <v>Grupo30</v>
      </c>
    </row>
    <row r="72" spans="1:3">
      <c r="A72" s="19" t="s">
        <v>24</v>
      </c>
      <c r="B72" s="17">
        <v>943.14104181533003</v>
      </c>
      <c r="C72" s="18" t="str">
        <f t="shared" si="1"/>
        <v>Grupo 3</v>
      </c>
    </row>
    <row r="73" spans="1:3">
      <c r="A73" s="19" t="s">
        <v>25</v>
      </c>
      <c r="B73" s="17">
        <v>788.74647424</v>
      </c>
      <c r="C73" s="18" t="str">
        <f t="shared" si="1"/>
        <v>Grupo 1</v>
      </c>
    </row>
    <row r="74" spans="1:3">
      <c r="A74" s="19" t="s">
        <v>26</v>
      </c>
      <c r="B74" s="17">
        <v>3510.3519066648</v>
      </c>
      <c r="C74" s="18" t="str">
        <f t="shared" si="1"/>
        <v>Grupo 18</v>
      </c>
    </row>
    <row r="75" spans="1:3">
      <c r="A75" s="19" t="s">
        <v>27</v>
      </c>
      <c r="B75" s="17">
        <v>2843.9573390894998</v>
      </c>
      <c r="C75" s="18" t="str">
        <f t="shared" si="1"/>
        <v>Grupo 16</v>
      </c>
    </row>
    <row r="76" spans="1:3">
      <c r="A76" s="19" t="s">
        <v>18</v>
      </c>
      <c r="B76" s="17">
        <v>977.56277151419999</v>
      </c>
      <c r="C76" s="18" t="str">
        <f t="shared" si="1"/>
        <v>Grupo 3</v>
      </c>
    </row>
    <row r="77" spans="1:3">
      <c r="A77" s="19" t="s">
        <v>18</v>
      </c>
      <c r="B77" s="17">
        <v>788</v>
      </c>
      <c r="C77" s="18" t="str">
        <f t="shared" si="1"/>
        <v>Grupo 1</v>
      </c>
    </row>
    <row r="78" spans="1:3">
      <c r="A78" s="19" t="s">
        <v>28</v>
      </c>
      <c r="B78" s="17">
        <v>790</v>
      </c>
      <c r="C78" s="18" t="str">
        <f t="shared" si="1"/>
        <v>Grupo 1</v>
      </c>
    </row>
    <row r="79" spans="1:3">
      <c r="A79" s="19" t="s">
        <v>18</v>
      </c>
      <c r="B79" s="17">
        <v>938</v>
      </c>
      <c r="C79" s="18" t="str">
        <f t="shared" si="1"/>
        <v>Grupo 3</v>
      </c>
    </row>
    <row r="80" spans="1:3">
      <c r="A80" s="19" t="s">
        <v>18</v>
      </c>
      <c r="B80" s="17">
        <v>933</v>
      </c>
      <c r="C80" s="18" t="str">
        <f t="shared" si="1"/>
        <v>Enquadrar na Tabela</v>
      </c>
    </row>
    <row r="81" spans="1:3">
      <c r="A81" s="19" t="s">
        <v>18</v>
      </c>
      <c r="B81" s="17">
        <v>977</v>
      </c>
      <c r="C81" s="18" t="str">
        <f t="shared" si="1"/>
        <v>Grupo 3</v>
      </c>
    </row>
    <row r="82" spans="1:3">
      <c r="A82" s="19" t="s">
        <v>18</v>
      </c>
      <c r="B82" s="17">
        <v>1000</v>
      </c>
      <c r="C82" s="18" t="str">
        <f t="shared" si="1"/>
        <v>Grupo 3</v>
      </c>
    </row>
    <row r="83" spans="1:3">
      <c r="A83" s="19" t="s">
        <v>29</v>
      </c>
      <c r="B83" s="17">
        <v>2344</v>
      </c>
      <c r="C83" s="18" t="str">
        <f t="shared" si="1"/>
        <v>Grupo 13</v>
      </c>
    </row>
    <row r="84" spans="1:3">
      <c r="A84" s="19" t="s">
        <v>23</v>
      </c>
      <c r="B84" s="17">
        <v>2201.98</v>
      </c>
      <c r="C84" s="18" t="str">
        <f t="shared" si="1"/>
        <v>Grupo 13</v>
      </c>
    </row>
    <row r="85" spans="1:3">
      <c r="A85" s="19" t="s">
        <v>18</v>
      </c>
      <c r="B85" s="17">
        <v>977</v>
      </c>
      <c r="C85" s="18" t="str">
        <f t="shared" si="1"/>
        <v>Grupo 3</v>
      </c>
    </row>
    <row r="86" spans="1:3">
      <c r="A86" s="19" t="s">
        <v>18</v>
      </c>
      <c r="B86" s="17">
        <v>978</v>
      </c>
      <c r="C86" s="18" t="str">
        <f t="shared" si="1"/>
        <v>Grupo 3</v>
      </c>
    </row>
    <row r="87" spans="1:3">
      <c r="A87" s="19" t="s">
        <v>30</v>
      </c>
      <c r="B87" s="17">
        <v>1053.33</v>
      </c>
      <c r="C87" s="18" t="str">
        <f t="shared" si="1"/>
        <v>Grupo 4</v>
      </c>
    </row>
    <row r="88" spans="1:3">
      <c r="A88" s="19" t="s">
        <v>18</v>
      </c>
      <c r="B88" s="17">
        <v>998</v>
      </c>
      <c r="C88" s="18" t="str">
        <f t="shared" si="1"/>
        <v>Grupo 3</v>
      </c>
    </row>
    <row r="89" spans="1:3">
      <c r="A89" s="19" t="s">
        <v>31</v>
      </c>
      <c r="B89" s="17">
        <v>4128.78</v>
      </c>
      <c r="C89" s="18" t="str">
        <f t="shared" si="1"/>
        <v>Grupo 20</v>
      </c>
    </row>
    <row r="90" spans="1:3">
      <c r="A90" s="19" t="s">
        <v>33</v>
      </c>
      <c r="B90" s="17">
        <v>8888.8799999999992</v>
      </c>
      <c r="C90" s="18" t="str">
        <f t="shared" si="1"/>
        <v>Grupo29</v>
      </c>
    </row>
    <row r="91" spans="1:3">
      <c r="A91" s="19" t="s">
        <v>37</v>
      </c>
      <c r="B91" s="17">
        <v>9099</v>
      </c>
      <c r="C91" s="18" t="str">
        <f t="shared" si="1"/>
        <v>Grupo29</v>
      </c>
    </row>
    <row r="92" spans="1:3">
      <c r="A92" s="19" t="s">
        <v>38</v>
      </c>
      <c r="B92" s="17">
        <v>5504.01</v>
      </c>
      <c r="C92" s="18" t="str">
        <f t="shared" si="1"/>
        <v>Grupo23</v>
      </c>
    </row>
    <row r="93" spans="1:3">
      <c r="A93" s="19" t="s">
        <v>39</v>
      </c>
      <c r="B93" s="17">
        <v>2455.7800000000002</v>
      </c>
      <c r="C93" s="18" t="str">
        <f t="shared" si="1"/>
        <v>Grupo 14</v>
      </c>
    </row>
    <row r="94" spans="1:3">
      <c r="A94" s="19" t="s">
        <v>40</v>
      </c>
      <c r="B94" s="17">
        <v>4577.04</v>
      </c>
      <c r="C94" s="18" t="str">
        <f t="shared" si="1"/>
        <v>Grupo 21</v>
      </c>
    </row>
  </sheetData>
  <sheetProtection password="DD2C" sheet="1" objects="1" scenarios="1" selectLockedCells="1"/>
  <autoFilter ref="A34:C34"/>
  <sortState ref="A35:B42">
    <sortCondition ref="B15:B22"/>
  </sortState>
  <mergeCells count="3">
    <mergeCell ref="G1:K1"/>
    <mergeCell ref="F1:F2"/>
    <mergeCell ref="A18:B18"/>
  </mergeCells>
  <dataValidations xWindow="288" yWindow="381" count="2">
    <dataValidation type="whole" allowBlank="1" showInputMessage="1" showErrorMessage="1" errorTitle="VALOR INVÁLIDO" error="Elabore de 1 a 30 grupos salariais._x000a_" promptTitle="NUMERO DE DE GRUPOS SALARIAIS" prompt="Crie de 1 a 30 grupos salariais_x000a_" sqref="B21">
      <formula1>1</formula1>
      <formula2>30</formula2>
    </dataValidation>
    <dataValidation type="decimal" allowBlank="1" showInputMessage="1" showErrorMessage="1" errorTitle="VALOR INVÁLIDO" error="Valor menor que o salário mínimo nacional vigente a partir de 01/01/2015 de R$788,00." sqref="B19">
      <formula1>788</formula1>
      <formula2>9999999999.99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C23" formulaRange="1"/>
    <ignoredError sqref="F3:K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Tab. salarial sem sobreposicao 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2015-04-30T14:20:25Z</dcterms:created>
  <dcterms:modified xsi:type="dcterms:W3CDTF">2015-04-30T21:03:40Z</dcterms:modified>
</cp:coreProperties>
</file>